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лот1!$A$1:$Y$41</definedName>
  </definedNames>
  <calcPr calcId="152511"/>
</workbook>
</file>

<file path=xl/calcChain.xml><?xml version="1.0" encoding="utf-8"?>
<calcChain xmlns="http://schemas.openxmlformats.org/spreadsheetml/2006/main">
  <c r="S36" i="3"/>
  <c r="Y15" l="1"/>
  <c r="X15"/>
  <c r="Y33"/>
  <c r="X33"/>
  <c r="Y32"/>
  <c r="X32"/>
  <c r="Y30"/>
  <c r="X30"/>
  <c r="Y29"/>
  <c r="X29"/>
  <c r="Y27"/>
  <c r="X27"/>
  <c r="Y21"/>
  <c r="X21"/>
  <c r="Y20"/>
  <c r="X20"/>
  <c r="Y18"/>
  <c r="X18"/>
  <c r="Y17"/>
  <c r="X17"/>
  <c r="Y16"/>
  <c r="X16"/>
  <c r="W29" l="1"/>
  <c r="W28" s="1"/>
  <c r="W27"/>
  <c r="W22" s="1"/>
  <c r="W17"/>
  <c r="W14" s="1"/>
  <c r="W9"/>
  <c r="W36" l="1"/>
  <c r="V33"/>
  <c r="V32"/>
  <c r="V31"/>
  <c r="V30"/>
  <c r="V29"/>
  <c r="V27"/>
  <c r="V26"/>
  <c r="V25"/>
  <c r="V24"/>
  <c r="V23"/>
  <c r="V21"/>
  <c r="V20"/>
  <c r="V19"/>
  <c r="V18"/>
  <c r="V17"/>
  <c r="V16"/>
  <c r="V15"/>
  <c r="U33"/>
  <c r="T33"/>
  <c r="S33"/>
  <c r="U32"/>
  <c r="T32"/>
  <c r="S32"/>
  <c r="U31"/>
  <c r="T31"/>
  <c r="S31"/>
  <c r="U30"/>
  <c r="T30"/>
  <c r="S30"/>
  <c r="U29"/>
  <c r="T29"/>
  <c r="S29"/>
  <c r="U27"/>
  <c r="T27"/>
  <c r="S27"/>
  <c r="U26"/>
  <c r="T26"/>
  <c r="S26"/>
  <c r="U25"/>
  <c r="T25"/>
  <c r="S25"/>
  <c r="U24"/>
  <c r="T24"/>
  <c r="S24"/>
  <c r="U23"/>
  <c r="T23"/>
  <c r="S23"/>
  <c r="U21"/>
  <c r="T21"/>
  <c r="S21"/>
  <c r="U20"/>
  <c r="T20"/>
  <c r="S20"/>
  <c r="U19"/>
  <c r="T19"/>
  <c r="S19"/>
  <c r="U18"/>
  <c r="T18"/>
  <c r="S18"/>
  <c r="U17"/>
  <c r="T17"/>
  <c r="S17"/>
  <c r="U16"/>
  <c r="T16"/>
  <c r="S16"/>
  <c r="U15"/>
  <c r="T15"/>
  <c r="S15"/>
  <c r="R33"/>
  <c r="Q33"/>
  <c r="R32"/>
  <c r="Q32"/>
  <c r="R31"/>
  <c r="Q31"/>
  <c r="R30"/>
  <c r="Q30"/>
  <c r="R29"/>
  <c r="Q29"/>
  <c r="R27"/>
  <c r="Q27"/>
  <c r="R26"/>
  <c r="Q26"/>
  <c r="R25"/>
  <c r="Q25"/>
  <c r="R24"/>
  <c r="Q24"/>
  <c r="R23"/>
  <c r="Q23"/>
  <c r="R21"/>
  <c r="Q21"/>
  <c r="R20"/>
  <c r="Q20"/>
  <c r="R19"/>
  <c r="Q19"/>
  <c r="R18"/>
  <c r="Q18"/>
  <c r="R17"/>
  <c r="Q17"/>
  <c r="R16"/>
  <c r="Q16"/>
  <c r="R15"/>
  <c r="Q15"/>
  <c r="P33"/>
  <c r="P32"/>
  <c r="P31"/>
  <c r="P30"/>
  <c r="P29"/>
  <c r="P27"/>
  <c r="P26"/>
  <c r="P25"/>
  <c r="P24"/>
  <c r="P23"/>
  <c r="P21"/>
  <c r="P20"/>
  <c r="P19"/>
  <c r="P18"/>
  <c r="P17"/>
  <c r="P16"/>
  <c r="P15"/>
  <c r="X31"/>
  <c r="X26"/>
  <c r="X25"/>
  <c r="X24"/>
  <c r="X23"/>
  <c r="X19"/>
  <c r="X9"/>
  <c r="M33"/>
  <c r="M32"/>
  <c r="M31"/>
  <c r="M30"/>
  <c r="M29"/>
  <c r="M27"/>
  <c r="M26"/>
  <c r="M25"/>
  <c r="M24"/>
  <c r="M23"/>
  <c r="M21"/>
  <c r="M20"/>
  <c r="M19"/>
  <c r="M18"/>
  <c r="M17"/>
  <c r="M16"/>
  <c r="M15"/>
  <c r="M9"/>
  <c r="O15"/>
  <c r="O16"/>
  <c r="O17"/>
  <c r="O18"/>
  <c r="O19"/>
  <c r="O20"/>
  <c r="O21"/>
  <c r="O23"/>
  <c r="O24"/>
  <c r="O25"/>
  <c r="O26"/>
  <c r="O27"/>
  <c r="O29"/>
  <c r="O30"/>
  <c r="O31"/>
  <c r="O32"/>
  <c r="O33"/>
  <c r="P14" l="1"/>
  <c r="Q28"/>
  <c r="R14"/>
  <c r="R28"/>
  <c r="P22"/>
  <c r="Q14"/>
  <c r="S14"/>
  <c r="V14"/>
  <c r="P28"/>
  <c r="R22"/>
  <c r="U22"/>
  <c r="V22"/>
  <c r="T22"/>
  <c r="Q22"/>
  <c r="S28"/>
  <c r="V28"/>
  <c r="V34" s="1"/>
  <c r="V36" s="1"/>
  <c r="P34"/>
  <c r="P36" s="1"/>
  <c r="U28"/>
  <c r="S22"/>
  <c r="U14"/>
  <c r="T14"/>
  <c r="T28"/>
  <c r="X14"/>
  <c r="X28"/>
  <c r="X22"/>
  <c r="M22"/>
  <c r="M14"/>
  <c r="M28"/>
  <c r="O28"/>
  <c r="O14"/>
  <c r="O22"/>
  <c r="Q34" l="1"/>
  <c r="Q36" s="1"/>
  <c r="R34"/>
  <c r="R36" s="1"/>
  <c r="S34"/>
  <c r="X34"/>
  <c r="X36" s="1"/>
  <c r="U34"/>
  <c r="U36" s="1"/>
  <c r="T34"/>
  <c r="T36" s="1"/>
  <c r="O34"/>
  <c r="O36" s="1"/>
  <c r="M34"/>
  <c r="M36" s="1"/>
  <c r="Y31" l="1"/>
  <c r="Y26" l="1"/>
  <c r="Y25"/>
  <c r="Y24"/>
  <c r="Y23"/>
  <c r="Y19"/>
  <c r="Y9"/>
  <c r="L33"/>
  <c r="L32"/>
  <c r="L31"/>
  <c r="L30"/>
  <c r="L29"/>
  <c r="L27"/>
  <c r="L26"/>
  <c r="L25"/>
  <c r="L24"/>
  <c r="L23"/>
  <c r="L21"/>
  <c r="L20"/>
  <c r="L19"/>
  <c r="L18"/>
  <c r="L17"/>
  <c r="L16"/>
  <c r="L15"/>
  <c r="L9"/>
  <c r="L14" l="1"/>
  <c r="L28"/>
  <c r="Y14"/>
  <c r="Y22"/>
  <c r="Y28"/>
  <c r="L22"/>
  <c r="K33"/>
  <c r="K32"/>
  <c r="K31"/>
  <c r="K30"/>
  <c r="K29"/>
  <c r="K27"/>
  <c r="K26"/>
  <c r="K25"/>
  <c r="K24"/>
  <c r="K23"/>
  <c r="K21"/>
  <c r="K20"/>
  <c r="K19"/>
  <c r="K18"/>
  <c r="K17"/>
  <c r="K16"/>
  <c r="K15"/>
  <c r="K9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L34" l="1"/>
  <c r="L36" s="1"/>
  <c r="Y34"/>
  <c r="Y36" s="1"/>
  <c r="K14"/>
  <c r="K28"/>
  <c r="K22"/>
  <c r="J22"/>
  <c r="J14"/>
  <c r="J28"/>
  <c r="H31"/>
  <c r="H14"/>
  <c r="H29"/>
  <c r="H26"/>
  <c r="H27"/>
  <c r="K34" l="1"/>
  <c r="K36" s="1"/>
  <c r="J34"/>
  <c r="J36" s="1"/>
  <c r="I22"/>
  <c r="H28"/>
  <c r="H22"/>
  <c r="H9"/>
  <c r="H36" l="1"/>
  <c r="I28"/>
  <c r="I14" l="1"/>
  <c r="I34" s="1"/>
  <c r="AA34" s="1"/>
  <c r="AB34" s="1"/>
  <c r="I36" l="1"/>
</calcChain>
</file>

<file path=xl/sharedStrings.xml><?xml version="1.0" encoding="utf-8"?>
<sst xmlns="http://schemas.openxmlformats.org/spreadsheetml/2006/main" count="108" uniqueCount="90">
  <si>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</si>
  <si>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</si>
  <si>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</si>
  <si>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</si>
  <si>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</si>
  <si>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</si>
  <si>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</si>
  <si>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</si>
  <si>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</si>
  <si>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</si>
  <si>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</si>
  <si>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</si>
  <si>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</si>
  <si>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</si>
  <si>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</si>
  <si>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</si>
  <si>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</si>
  <si>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</si>
  <si>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</si>
  <si>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</si>
  <si>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</si>
  <si>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</si>
  <si>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</si>
  <si>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</si>
  <si>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</si>
  <si>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</si>
  <si>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</si>
  <si>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</si>
  <si>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</si>
  <si>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</si>
  <si>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</si>
  <si>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</si>
  <si>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</si>
  <si>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</si>
  <si>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</si>
  <si>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</si>
  <si>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</si>
  <si>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</si>
  <si>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</si>
  <si>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</si>
  <si>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</si>
  <si>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</si>
  <si>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</si>
  <si>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</si>
  <si>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</si>
  <si>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</si>
  <si>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</si>
  <si>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</si>
  <si>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</si>
  <si>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</si>
  <si>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</si>
  <si>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</si>
  <si>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</si>
  <si>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4</t>
  </si>
  <si>
    <t>8</t>
  </si>
  <si>
    <t>13</t>
  </si>
  <si>
    <t>16</t>
  </si>
  <si>
    <t>9</t>
  </si>
  <si>
    <t>10</t>
  </si>
  <si>
    <t>17</t>
  </si>
  <si>
    <t>2</t>
  </si>
  <si>
    <t>5</t>
  </si>
  <si>
    <t>15</t>
  </si>
  <si>
    <t>МВК  деревянный не благоустроенный без канализации</t>
  </si>
  <si>
    <t>Приложение № 4</t>
  </si>
  <si>
    <t>Лот №1</t>
  </si>
  <si>
    <t>Жилой район Маймаксанский тер. округ</t>
  </si>
  <si>
    <t>Юнг ВМФ ул.</t>
  </si>
  <si>
    <t>11</t>
  </si>
  <si>
    <t>15,к.1</t>
  </si>
  <si>
    <t>Моряка</t>
  </si>
  <si>
    <t>Моряка, ул</t>
  </si>
  <si>
    <t>8, к.2</t>
  </si>
  <si>
    <t>8, к.1</t>
  </si>
  <si>
    <t>Котовского, ул.</t>
  </si>
  <si>
    <t>412,6</t>
  </si>
  <si>
    <t>390,3</t>
  </si>
  <si>
    <t>344</t>
  </si>
  <si>
    <t>505,4</t>
  </si>
  <si>
    <t>299,9</t>
  </si>
  <si>
    <t>399,2</t>
  </si>
  <si>
    <t>387,2</t>
  </si>
  <si>
    <t>601,7</t>
  </si>
  <si>
    <t>322,10</t>
  </si>
  <si>
    <t>422,2</t>
  </si>
  <si>
    <t>304,7</t>
  </si>
  <si>
    <t>328,8</t>
  </si>
  <si>
    <t>347,3</t>
  </si>
  <si>
    <t>556,7</t>
  </si>
  <si>
    <t>298,6</t>
  </si>
</sst>
</file>

<file path=xl/styles.xml><?xml version="1.0" encoding="utf-8"?>
<styleSheet xmlns="http://schemas.openxmlformats.org/spreadsheetml/2006/main">
  <fonts count="17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0" fontId="11" fillId="0" borderId="0" xfId="0" applyNumberFormat="1" applyFont="1" applyAlignment="1"/>
    <xf numFmtId="0" fontId="6" fillId="0" borderId="0" xfId="0" applyFont="1" applyAlignment="1">
      <alignment horizontal="right"/>
    </xf>
    <xf numFmtId="0" fontId="12" fillId="0" borderId="0" xfId="0" applyNumberFormat="1" applyFont="1" applyAlignment="1"/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6" fillId="2" borderId="5" xfId="0" applyNumberFormat="1" applyFont="1" applyFill="1" applyBorder="1" applyAlignment="1">
      <alignment horizontal="center" vertical="top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top"/>
    </xf>
    <xf numFmtId="4" fontId="15" fillId="2" borderId="1" xfId="0" applyNumberFormat="1" applyFont="1" applyFill="1" applyBorder="1" applyAlignment="1">
      <alignment horizontal="center" vertical="top" wrapText="1"/>
    </xf>
    <xf numFmtId="4" fontId="15" fillId="2" borderId="1" xfId="0" applyNumberFormat="1" applyFont="1" applyFill="1" applyBorder="1" applyAlignment="1">
      <alignment horizontal="center" wrapText="1"/>
    </xf>
    <xf numFmtId="4" fontId="15" fillId="2" borderId="12" xfId="0" applyNumberFormat="1" applyFont="1" applyFill="1" applyBorder="1" applyAlignment="1">
      <alignment horizontal="left" vertical="top"/>
    </xf>
    <xf numFmtId="4" fontId="15" fillId="2" borderId="13" xfId="0" applyNumberFormat="1" applyFont="1" applyFill="1" applyBorder="1" applyAlignment="1">
      <alignment horizontal="left" vertical="top"/>
    </xf>
    <xf numFmtId="4" fontId="16" fillId="2" borderId="5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right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4" fontId="15" fillId="2" borderId="5" xfId="0" applyNumberFormat="1" applyFont="1" applyFill="1" applyBorder="1" applyAlignment="1">
      <alignment horizontal="center"/>
    </xf>
    <xf numFmtId="4" fontId="15" fillId="2" borderId="13" xfId="0" applyNumberFormat="1" applyFont="1" applyFill="1" applyBorder="1" applyAlignment="1">
      <alignment horizontal="center" vertical="center"/>
    </xf>
    <xf numFmtId="4" fontId="15" fillId="2" borderId="12" xfId="0" applyNumberFormat="1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center"/>
    </xf>
    <xf numFmtId="4" fontId="16" fillId="2" borderId="1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13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14" xfId="0" applyNumberFormat="1" applyFont="1" applyFill="1" applyBorder="1" applyAlignment="1">
      <alignment horizontal="center" vertical="center"/>
    </xf>
    <xf numFmtId="4" fontId="16" fillId="2" borderId="14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15" fillId="2" borderId="14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6"/>
  <sheetViews>
    <sheetView tabSelected="1" view="pageBreakPreview" zoomScale="90" zoomScaleNormal="100" zoomScaleSheetLayoutView="90" workbookViewId="0">
      <selection activeCell="A37" sqref="A37:XFD37"/>
    </sheetView>
  </sheetViews>
  <sheetFormatPr defaultRowHeight="12.75"/>
  <cols>
    <col min="1" max="1" width="9.140625" style="6" customWidth="1"/>
    <col min="2" max="5" width="9.140625" style="6"/>
    <col min="6" max="6" width="20.7109375" style="6" customWidth="1"/>
    <col min="7" max="7" width="17.28515625" style="28" customWidth="1"/>
    <col min="8" max="8" width="11.42578125" style="38" customWidth="1"/>
    <col min="9" max="9" width="10.140625" style="7" customWidth="1"/>
    <col min="10" max="10" width="9.140625" style="7" customWidth="1"/>
    <col min="11" max="11" width="10.140625" style="7" customWidth="1"/>
    <col min="12" max="12" width="10" style="8" customWidth="1"/>
    <col min="13" max="13" width="9.140625" style="8" customWidth="1"/>
    <col min="14" max="14" width="14.28515625" style="38" customWidth="1"/>
    <col min="15" max="18" width="9.28515625" style="8" customWidth="1"/>
    <col min="19" max="22" width="8.28515625" style="8" customWidth="1"/>
    <col min="23" max="23" width="13.7109375" style="38" customWidth="1"/>
    <col min="24" max="25" width="8.28515625" style="8" customWidth="1"/>
    <col min="26" max="26" width="13.28515625" customWidth="1"/>
    <col min="27" max="27" width="13.5703125" customWidth="1"/>
  </cols>
  <sheetData>
    <row r="1" spans="1:37" s="1" customFormat="1" ht="16.5" customHeight="1">
      <c r="A1" s="51" t="s">
        <v>25</v>
      </c>
      <c r="B1" s="51"/>
      <c r="C1" s="51"/>
      <c r="D1" s="51"/>
      <c r="E1" s="51"/>
      <c r="F1" s="51"/>
      <c r="G1" s="51"/>
      <c r="H1" s="38"/>
      <c r="I1" s="19"/>
      <c r="J1" s="20" t="s">
        <v>64</v>
      </c>
      <c r="K1" s="20"/>
      <c r="L1" s="17"/>
      <c r="M1" s="17"/>
      <c r="N1" s="3"/>
      <c r="O1" s="3"/>
      <c r="P1" s="3"/>
      <c r="Q1" s="3"/>
      <c r="R1" s="3"/>
      <c r="S1" s="3"/>
      <c r="T1" s="3"/>
      <c r="U1" s="3"/>
      <c r="V1" s="3"/>
      <c r="W1" s="38"/>
      <c r="X1" s="8"/>
      <c r="Y1" s="8"/>
    </row>
    <row r="2" spans="1:37" s="1" customFormat="1" ht="16.5" customHeight="1">
      <c r="A2" s="51" t="s">
        <v>24</v>
      </c>
      <c r="B2" s="51"/>
      <c r="C2" s="51"/>
      <c r="D2" s="51"/>
      <c r="E2" s="51"/>
      <c r="F2" s="51"/>
      <c r="G2" s="51"/>
      <c r="H2" s="38"/>
      <c r="I2" s="21"/>
      <c r="J2" s="20"/>
      <c r="K2" s="20"/>
      <c r="L2" s="18"/>
      <c r="M2" s="18"/>
      <c r="N2" s="3"/>
      <c r="O2" s="4"/>
      <c r="P2" s="4"/>
      <c r="Q2" s="4"/>
      <c r="R2" s="4"/>
      <c r="S2" s="4"/>
      <c r="T2" s="4"/>
      <c r="U2" s="4"/>
      <c r="V2" s="4"/>
      <c r="W2" s="38"/>
      <c r="X2" s="8"/>
      <c r="Y2" s="8"/>
    </row>
    <row r="3" spans="1:37" s="1" customFormat="1" ht="16.5" customHeight="1">
      <c r="A3" s="51" t="s">
        <v>23</v>
      </c>
      <c r="B3" s="51"/>
      <c r="C3" s="51"/>
      <c r="D3" s="51"/>
      <c r="E3" s="51"/>
      <c r="F3" s="51"/>
      <c r="G3" s="51"/>
      <c r="H3" s="38"/>
      <c r="I3" s="21"/>
      <c r="J3" s="20"/>
      <c r="K3" s="20"/>
      <c r="L3" s="17"/>
      <c r="M3" s="17"/>
      <c r="N3" s="3"/>
      <c r="O3" s="4"/>
      <c r="P3" s="4"/>
      <c r="Q3" s="4"/>
      <c r="R3" s="4"/>
      <c r="S3" s="4"/>
      <c r="T3" s="4"/>
      <c r="U3" s="4"/>
      <c r="V3" s="4"/>
      <c r="W3" s="38"/>
      <c r="X3" s="8"/>
      <c r="Y3" s="8"/>
    </row>
    <row r="4" spans="1:37" s="1" customFormat="1" ht="16.5" customHeight="1">
      <c r="A4" s="51" t="s">
        <v>22</v>
      </c>
      <c r="B4" s="51"/>
      <c r="C4" s="51"/>
      <c r="D4" s="51"/>
      <c r="E4" s="51"/>
      <c r="F4" s="51"/>
      <c r="G4" s="51"/>
      <c r="H4" s="38"/>
      <c r="I4" s="7"/>
      <c r="J4" s="7"/>
      <c r="K4" s="7"/>
      <c r="L4" s="8"/>
      <c r="M4" s="8"/>
      <c r="N4" s="38"/>
      <c r="O4" s="8"/>
      <c r="P4" s="8"/>
      <c r="Q4" s="8"/>
      <c r="R4" s="8"/>
      <c r="S4" s="8"/>
      <c r="T4" s="8"/>
      <c r="U4" s="8"/>
      <c r="V4" s="8"/>
      <c r="W4" s="38"/>
      <c r="X4" s="8"/>
      <c r="Y4" s="8"/>
    </row>
    <row r="5" spans="1:37" s="1" customFormat="1">
      <c r="A5" s="5" t="s">
        <v>65</v>
      </c>
      <c r="B5" s="5" t="s">
        <v>66</v>
      </c>
      <c r="C5" s="6"/>
      <c r="D5" s="6"/>
      <c r="E5" s="6"/>
      <c r="F5" s="6"/>
      <c r="G5" s="28"/>
      <c r="H5" s="38"/>
      <c r="I5" s="7"/>
      <c r="J5" s="7"/>
      <c r="K5" s="7"/>
      <c r="L5" s="8"/>
      <c r="M5" s="8"/>
      <c r="N5" s="38"/>
      <c r="O5" s="8"/>
      <c r="P5" s="8"/>
      <c r="Q5" s="8"/>
      <c r="R5" s="8"/>
      <c r="S5" s="8"/>
      <c r="T5" s="8"/>
      <c r="U5" s="8"/>
      <c r="V5" s="8"/>
      <c r="W5" s="38"/>
      <c r="X5" s="8"/>
      <c r="Y5" s="8"/>
    </row>
    <row r="6" spans="1:37" s="1" customFormat="1" ht="15.75" customHeight="1">
      <c r="A6" s="70" t="s">
        <v>21</v>
      </c>
      <c r="B6" s="70"/>
      <c r="C6" s="70"/>
      <c r="D6" s="70"/>
      <c r="E6" s="70"/>
      <c r="F6" s="70"/>
      <c r="G6" s="70" t="s">
        <v>20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50"/>
      <c r="X6" s="70"/>
      <c r="Y6" s="70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s="9" customFormat="1" ht="56.25" customHeight="1">
      <c r="A7" s="70"/>
      <c r="B7" s="70"/>
      <c r="C7" s="70"/>
      <c r="D7" s="70"/>
      <c r="E7" s="70"/>
      <c r="F7" s="70"/>
      <c r="G7" s="71" t="s">
        <v>19</v>
      </c>
      <c r="H7" s="75" t="s">
        <v>46</v>
      </c>
      <c r="I7" s="24" t="s">
        <v>67</v>
      </c>
      <c r="J7" s="24" t="s">
        <v>67</v>
      </c>
      <c r="K7" s="24" t="s">
        <v>67</v>
      </c>
      <c r="L7" s="24" t="s">
        <v>67</v>
      </c>
      <c r="M7" s="24" t="s">
        <v>70</v>
      </c>
      <c r="N7" s="75" t="s">
        <v>47</v>
      </c>
      <c r="O7" s="24" t="s">
        <v>71</v>
      </c>
      <c r="P7" s="24" t="s">
        <v>71</v>
      </c>
      <c r="Q7" s="24" t="s">
        <v>71</v>
      </c>
      <c r="R7" s="24" t="s">
        <v>67</v>
      </c>
      <c r="S7" s="24" t="s">
        <v>74</v>
      </c>
      <c r="T7" s="24" t="s">
        <v>74</v>
      </c>
      <c r="U7" s="24" t="s">
        <v>74</v>
      </c>
      <c r="V7" s="24" t="s">
        <v>74</v>
      </c>
      <c r="W7" s="71" t="s">
        <v>63</v>
      </c>
      <c r="X7" s="24" t="s">
        <v>74</v>
      </c>
      <c r="Y7" s="24" t="s">
        <v>74</v>
      </c>
    </row>
    <row r="8" spans="1:37" s="9" customFormat="1">
      <c r="A8" s="70"/>
      <c r="B8" s="70"/>
      <c r="C8" s="70"/>
      <c r="D8" s="70"/>
      <c r="E8" s="70"/>
      <c r="F8" s="70"/>
      <c r="G8" s="71"/>
      <c r="H8" s="75"/>
      <c r="I8" s="24" t="s">
        <v>61</v>
      </c>
      <c r="J8" s="24" t="s">
        <v>68</v>
      </c>
      <c r="K8" s="24" t="s">
        <v>62</v>
      </c>
      <c r="L8" s="24" t="s">
        <v>69</v>
      </c>
      <c r="M8" s="24" t="s">
        <v>58</v>
      </c>
      <c r="N8" s="75"/>
      <c r="O8" s="24" t="s">
        <v>72</v>
      </c>
      <c r="P8" s="24" t="s">
        <v>73</v>
      </c>
      <c r="Q8" s="24" t="s">
        <v>61</v>
      </c>
      <c r="R8" s="24" t="s">
        <v>56</v>
      </c>
      <c r="S8" s="24" t="s">
        <v>53</v>
      </c>
      <c r="T8" s="24" t="s">
        <v>54</v>
      </c>
      <c r="U8" s="24" t="s">
        <v>55</v>
      </c>
      <c r="V8" s="24" t="s">
        <v>59</v>
      </c>
      <c r="W8" s="71"/>
      <c r="X8" s="24" t="s">
        <v>60</v>
      </c>
      <c r="Y8" s="24" t="s">
        <v>57</v>
      </c>
    </row>
    <row r="9" spans="1:37" s="1" customFormat="1">
      <c r="A9" s="52" t="s">
        <v>18</v>
      </c>
      <c r="B9" s="53"/>
      <c r="C9" s="53"/>
      <c r="D9" s="53"/>
      <c r="E9" s="53"/>
      <c r="F9" s="54"/>
      <c r="G9" s="29"/>
      <c r="H9" s="46">
        <f t="shared" ref="H9" si="0">SUM(H10:H13)</f>
        <v>0</v>
      </c>
      <c r="I9" s="13">
        <f t="shared" ref="I9" si="1">SUM(I10:I13)</f>
        <v>0</v>
      </c>
      <c r="J9" s="13">
        <f t="shared" ref="J9:L9" si="2">SUM(J10:J13)</f>
        <v>0</v>
      </c>
      <c r="K9" s="13">
        <f t="shared" si="2"/>
        <v>0</v>
      </c>
      <c r="L9" s="13">
        <f t="shared" si="2"/>
        <v>0</v>
      </c>
      <c r="M9" s="13">
        <f t="shared" ref="M9" si="3">SUM(M10:M13)</f>
        <v>0</v>
      </c>
      <c r="N9" s="46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49">
        <f t="shared" ref="W9" si="4">SUM(W10:W13)</f>
        <v>0</v>
      </c>
      <c r="X9" s="13">
        <f t="shared" ref="X9" si="5">SUM(X10:X13)</f>
        <v>0</v>
      </c>
      <c r="Y9" s="13">
        <f t="shared" ref="Y9" si="6">SUM(Y10:Y13)</f>
        <v>0</v>
      </c>
    </row>
    <row r="10" spans="1:37" s="1" customFormat="1">
      <c r="A10" s="62" t="s">
        <v>26</v>
      </c>
      <c r="B10" s="62"/>
      <c r="C10" s="62"/>
      <c r="D10" s="62"/>
      <c r="E10" s="62"/>
      <c r="F10" s="62"/>
      <c r="G10" s="30" t="s">
        <v>11</v>
      </c>
      <c r="H10" s="30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30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41">
        <v>0</v>
      </c>
      <c r="X10" s="11">
        <v>0</v>
      </c>
      <c r="Y10" s="11">
        <v>0</v>
      </c>
    </row>
    <row r="11" spans="1:37" s="1" customFormat="1">
      <c r="A11" s="62" t="s">
        <v>27</v>
      </c>
      <c r="B11" s="62"/>
      <c r="C11" s="62"/>
      <c r="D11" s="62"/>
      <c r="E11" s="62"/>
      <c r="F11" s="62"/>
      <c r="G11" s="30" t="s">
        <v>11</v>
      </c>
      <c r="H11" s="30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30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41">
        <v>0</v>
      </c>
      <c r="X11" s="11">
        <v>0</v>
      </c>
      <c r="Y11" s="11">
        <v>0</v>
      </c>
    </row>
    <row r="12" spans="1:37" s="1" customFormat="1">
      <c r="A12" s="62" t="s">
        <v>17</v>
      </c>
      <c r="B12" s="62"/>
      <c r="C12" s="62"/>
      <c r="D12" s="62"/>
      <c r="E12" s="62"/>
      <c r="F12" s="62"/>
      <c r="G12" s="30" t="s">
        <v>11</v>
      </c>
      <c r="H12" s="30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30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41">
        <v>0</v>
      </c>
      <c r="X12" s="11">
        <v>0</v>
      </c>
      <c r="Y12" s="11">
        <v>0</v>
      </c>
    </row>
    <row r="13" spans="1:37" s="1" customFormat="1">
      <c r="A13" s="62" t="s">
        <v>16</v>
      </c>
      <c r="B13" s="62"/>
      <c r="C13" s="62"/>
      <c r="D13" s="62"/>
      <c r="E13" s="62"/>
      <c r="F13" s="62"/>
      <c r="G13" s="30" t="s">
        <v>15</v>
      </c>
      <c r="H13" s="30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30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41">
        <v>0</v>
      </c>
      <c r="X13" s="11">
        <v>0</v>
      </c>
      <c r="Y13" s="11">
        <v>0</v>
      </c>
    </row>
    <row r="14" spans="1:37" s="1" customFormat="1" ht="23.85" customHeight="1">
      <c r="A14" s="67" t="s">
        <v>14</v>
      </c>
      <c r="B14" s="68"/>
      <c r="C14" s="68"/>
      <c r="D14" s="68"/>
      <c r="E14" s="68"/>
      <c r="F14" s="69"/>
      <c r="G14" s="31"/>
      <c r="H14" s="30">
        <f t="shared" ref="H14" si="7">SUM(H15:H21)</f>
        <v>4.6500000000000004</v>
      </c>
      <c r="I14" s="10">
        <f t="shared" ref="I14:K14" si="8">SUM(I15:I21)</f>
        <v>23023.08</v>
      </c>
      <c r="J14" s="10">
        <f t="shared" si="8"/>
        <v>21778.74</v>
      </c>
      <c r="K14" s="10">
        <f t="shared" si="8"/>
        <v>19195.200000000004</v>
      </c>
      <c r="L14" s="10">
        <f t="shared" ref="L14:M14" si="9">SUM(L15:L21)</f>
        <v>28201.32</v>
      </c>
      <c r="M14" s="10">
        <f t="shared" si="9"/>
        <v>16734.419999999998</v>
      </c>
      <c r="N14" s="30">
        <v>11.129999999999999</v>
      </c>
      <c r="O14" s="10">
        <f t="shared" ref="O14:P14" si="10">SUM(O15:O21)</f>
        <v>53317.152000000002</v>
      </c>
      <c r="P14" s="10">
        <f t="shared" si="10"/>
        <v>51714.432000000001</v>
      </c>
      <c r="Q14" s="10">
        <f t="shared" ref="Q14:T14" si="11">SUM(Q15:Q21)</f>
        <v>80363.052000000011</v>
      </c>
      <c r="R14" s="10">
        <f t="shared" si="11"/>
        <v>43019.676000000007</v>
      </c>
      <c r="S14" s="10">
        <f t="shared" si="11"/>
        <v>56389.031999999999</v>
      </c>
      <c r="T14" s="10">
        <f t="shared" si="11"/>
        <v>40695.732000000004</v>
      </c>
      <c r="U14" s="10">
        <f t="shared" ref="U14:V14" si="12">SUM(U15:U21)</f>
        <v>43914.528000000006</v>
      </c>
      <c r="V14" s="10">
        <f t="shared" si="12"/>
        <v>46385.387999999999</v>
      </c>
      <c r="W14" s="41">
        <f t="shared" ref="W14" si="13">SUM(W15:W21)</f>
        <v>11.129999999999999</v>
      </c>
      <c r="X14" s="10">
        <f t="shared" ref="X14" si="14">SUM(X15:X21)</f>
        <v>74352.852000000014</v>
      </c>
      <c r="Y14" s="10">
        <f t="shared" ref="Y14" si="15">SUM(Y15:Y21)</f>
        <v>39881.016000000003</v>
      </c>
    </row>
    <row r="15" spans="1:37" s="1" customFormat="1">
      <c r="A15" s="62" t="s">
        <v>40</v>
      </c>
      <c r="B15" s="62"/>
      <c r="C15" s="62"/>
      <c r="D15" s="62"/>
      <c r="E15" s="62"/>
      <c r="F15" s="62"/>
      <c r="G15" s="30" t="s">
        <v>41</v>
      </c>
      <c r="H15" s="30">
        <v>1.08</v>
      </c>
      <c r="I15" s="11">
        <f>1.08*12*I35</f>
        <v>5347.2960000000003</v>
      </c>
      <c r="J15" s="11">
        <f t="shared" ref="J15:K15" si="16">1.08*12*J35</f>
        <v>5058.2880000000005</v>
      </c>
      <c r="K15" s="11">
        <f t="shared" si="16"/>
        <v>4458.2400000000007</v>
      </c>
      <c r="L15" s="11">
        <f t="shared" ref="L15:M15" si="17">1.08*12*L35</f>
        <v>6549.9840000000004</v>
      </c>
      <c r="M15" s="11">
        <f t="shared" si="17"/>
        <v>3886.7040000000002</v>
      </c>
      <c r="N15" s="30">
        <v>0.95</v>
      </c>
      <c r="O15" s="11">
        <f t="shared" ref="O15:V15" si="18">0.95*12*O35</f>
        <v>4550.8799999999992</v>
      </c>
      <c r="P15" s="11">
        <f t="shared" si="18"/>
        <v>4414.079999999999</v>
      </c>
      <c r="Q15" s="11">
        <f t="shared" si="18"/>
        <v>6859.38</v>
      </c>
      <c r="R15" s="11">
        <f t="shared" si="18"/>
        <v>3671.9399999999996</v>
      </c>
      <c r="S15" s="11">
        <f t="shared" si="18"/>
        <v>4813.079999999999</v>
      </c>
      <c r="T15" s="11">
        <f t="shared" si="18"/>
        <v>3473.5799999999995</v>
      </c>
      <c r="U15" s="11">
        <f t="shared" si="18"/>
        <v>3748.3199999999997</v>
      </c>
      <c r="V15" s="11">
        <f t="shared" si="18"/>
        <v>3959.22</v>
      </c>
      <c r="W15" s="41">
        <v>0.95</v>
      </c>
      <c r="X15" s="11">
        <f>0.95*12*X35</f>
        <v>6346.38</v>
      </c>
      <c r="Y15" s="11">
        <f t="shared" ref="Y15" si="19">0.95*12*Y35</f>
        <v>3404.04</v>
      </c>
    </row>
    <row r="16" spans="1:37" s="1" customFormat="1">
      <c r="A16" s="62" t="s">
        <v>31</v>
      </c>
      <c r="B16" s="62"/>
      <c r="C16" s="62"/>
      <c r="D16" s="62"/>
      <c r="E16" s="62"/>
      <c r="F16" s="62"/>
      <c r="G16" s="30" t="s">
        <v>13</v>
      </c>
      <c r="H16" s="30">
        <v>0.41</v>
      </c>
      <c r="I16" s="11">
        <f>0.41*12*I35</f>
        <v>2029.9920000000002</v>
      </c>
      <c r="J16" s="11">
        <f t="shared" ref="J16:K16" si="20">0.41*12*J35</f>
        <v>1920.2760000000001</v>
      </c>
      <c r="K16" s="11">
        <f t="shared" si="20"/>
        <v>1692.48</v>
      </c>
      <c r="L16" s="11">
        <f t="shared" ref="L16:M16" si="21">0.41*12*L35</f>
        <v>2486.5679999999998</v>
      </c>
      <c r="M16" s="11">
        <f t="shared" si="21"/>
        <v>1475.5079999999998</v>
      </c>
      <c r="N16" s="30">
        <v>0.89</v>
      </c>
      <c r="O16" s="11">
        <f t="shared" ref="O16:V16" si="22">0.89*12*O35</f>
        <v>4263.4560000000001</v>
      </c>
      <c r="P16" s="11">
        <f t="shared" si="22"/>
        <v>4135.2959999999994</v>
      </c>
      <c r="Q16" s="11">
        <f t="shared" si="22"/>
        <v>6426.1559999999999</v>
      </c>
      <c r="R16" s="11">
        <f t="shared" si="22"/>
        <v>3440.0280000000002</v>
      </c>
      <c r="S16" s="11">
        <f t="shared" si="22"/>
        <v>4509.0959999999995</v>
      </c>
      <c r="T16" s="11">
        <f t="shared" si="22"/>
        <v>3254.1959999999999</v>
      </c>
      <c r="U16" s="11">
        <f t="shared" si="22"/>
        <v>3511.5839999999998</v>
      </c>
      <c r="V16" s="11">
        <f t="shared" si="22"/>
        <v>3709.1640000000002</v>
      </c>
      <c r="W16" s="41">
        <v>0.89</v>
      </c>
      <c r="X16" s="11">
        <f>0.89*12*X35</f>
        <v>5945.5560000000005</v>
      </c>
      <c r="Y16" s="11">
        <f t="shared" ref="Y16" si="23">0.89*12*Y35</f>
        <v>3189.0480000000002</v>
      </c>
    </row>
    <row r="17" spans="1:25" s="1" customFormat="1">
      <c r="A17" s="62" t="s">
        <v>32</v>
      </c>
      <c r="B17" s="62"/>
      <c r="C17" s="62"/>
      <c r="D17" s="62"/>
      <c r="E17" s="62"/>
      <c r="F17" s="62"/>
      <c r="G17" s="30" t="s">
        <v>42</v>
      </c>
      <c r="H17" s="30">
        <v>0.32</v>
      </c>
      <c r="I17" s="11">
        <f>0.32*12*I35</f>
        <v>1584.384</v>
      </c>
      <c r="J17" s="11">
        <f t="shared" ref="J17:K17" si="24">0.32*12*J35</f>
        <v>1498.752</v>
      </c>
      <c r="K17" s="11">
        <f t="shared" si="24"/>
        <v>1320.96</v>
      </c>
      <c r="L17" s="11">
        <f t="shared" ref="L17:M17" si="25">0.32*12*L35</f>
        <v>1940.7359999999999</v>
      </c>
      <c r="M17" s="11">
        <f t="shared" si="25"/>
        <v>1151.6159999999998</v>
      </c>
      <c r="N17" s="30">
        <v>0.38</v>
      </c>
      <c r="O17" s="11">
        <f t="shared" ref="O17:V17" si="26">0.38*12*O35</f>
        <v>1820.3520000000001</v>
      </c>
      <c r="P17" s="11">
        <f t="shared" si="26"/>
        <v>1765.6320000000001</v>
      </c>
      <c r="Q17" s="11">
        <f t="shared" si="26"/>
        <v>2743.7520000000004</v>
      </c>
      <c r="R17" s="11">
        <f t="shared" si="26"/>
        <v>1468.7760000000003</v>
      </c>
      <c r="S17" s="11">
        <f t="shared" si="26"/>
        <v>1925.2320000000002</v>
      </c>
      <c r="T17" s="11">
        <f t="shared" si="26"/>
        <v>1389.432</v>
      </c>
      <c r="U17" s="11">
        <f t="shared" si="26"/>
        <v>1499.3280000000002</v>
      </c>
      <c r="V17" s="11">
        <f t="shared" si="26"/>
        <v>1583.6880000000003</v>
      </c>
      <c r="W17" s="41">
        <f>0.15+0.23</f>
        <v>0.38</v>
      </c>
      <c r="X17" s="11">
        <f>0.38*12*X35</f>
        <v>2538.5520000000006</v>
      </c>
      <c r="Y17" s="11">
        <f t="shared" ref="Y17" si="27">0.38*12*Y35</f>
        <v>1361.6160000000002</v>
      </c>
    </row>
    <row r="18" spans="1:25" s="1" customFormat="1" ht="57.75" customHeight="1">
      <c r="A18" s="64" t="s">
        <v>33</v>
      </c>
      <c r="B18" s="65"/>
      <c r="C18" s="65"/>
      <c r="D18" s="65"/>
      <c r="E18" s="65"/>
      <c r="F18" s="66"/>
      <c r="G18" s="32" t="s">
        <v>12</v>
      </c>
      <c r="H18" s="30">
        <v>0.17</v>
      </c>
      <c r="I18" s="11">
        <f>0.17*12*I35</f>
        <v>841.70400000000006</v>
      </c>
      <c r="J18" s="11">
        <f t="shared" ref="J18:K18" si="28">0.17*12*J35</f>
        <v>796.21199999999999</v>
      </c>
      <c r="K18" s="11">
        <f t="shared" si="28"/>
        <v>701.76</v>
      </c>
      <c r="L18" s="11">
        <f t="shared" ref="L18:M18" si="29">0.17*12*L35</f>
        <v>1031.0160000000001</v>
      </c>
      <c r="M18" s="11">
        <f t="shared" si="29"/>
        <v>611.79599999999994</v>
      </c>
      <c r="N18" s="30">
        <v>0.27</v>
      </c>
      <c r="O18" s="11">
        <f t="shared" ref="O18:V18" si="30">0.27*12*O35</f>
        <v>1293.4080000000001</v>
      </c>
      <c r="P18" s="11">
        <f t="shared" si="30"/>
        <v>1254.528</v>
      </c>
      <c r="Q18" s="11">
        <f t="shared" si="30"/>
        <v>1949.5080000000003</v>
      </c>
      <c r="R18" s="11">
        <f t="shared" si="30"/>
        <v>1043.604</v>
      </c>
      <c r="S18" s="11">
        <f t="shared" si="30"/>
        <v>1367.9280000000001</v>
      </c>
      <c r="T18" s="11">
        <f t="shared" si="30"/>
        <v>987.22800000000007</v>
      </c>
      <c r="U18" s="11">
        <f t="shared" si="30"/>
        <v>1065.3120000000001</v>
      </c>
      <c r="V18" s="11">
        <f t="shared" si="30"/>
        <v>1125.2520000000002</v>
      </c>
      <c r="W18" s="41">
        <v>0.27</v>
      </c>
      <c r="X18" s="11">
        <f>0.27*12*X35</f>
        <v>1803.7080000000003</v>
      </c>
      <c r="Y18" s="11">
        <f t="shared" ref="Y18" si="31">0.27*12*Y35</f>
        <v>967.46400000000017</v>
      </c>
    </row>
    <row r="19" spans="1:25" s="1" customFormat="1" ht="23.25" customHeight="1">
      <c r="A19" s="61" t="s">
        <v>34</v>
      </c>
      <c r="B19" s="62"/>
      <c r="C19" s="62"/>
      <c r="D19" s="62"/>
      <c r="E19" s="62"/>
      <c r="F19" s="62"/>
      <c r="G19" s="30" t="s">
        <v>43</v>
      </c>
      <c r="H19" s="30">
        <v>0.05</v>
      </c>
      <c r="I19" s="11">
        <f>0.05*12*I35</f>
        <v>247.56000000000006</v>
      </c>
      <c r="J19" s="11">
        <f t="shared" ref="J19:K19" si="32">0.05*12*J35</f>
        <v>234.18000000000004</v>
      </c>
      <c r="K19" s="11">
        <f t="shared" si="32"/>
        <v>206.40000000000003</v>
      </c>
      <c r="L19" s="11">
        <f t="shared" ref="L19:M19" si="33">0.05*12*L35</f>
        <v>303.24</v>
      </c>
      <c r="M19" s="11">
        <f t="shared" si="33"/>
        <v>179.94000000000003</v>
      </c>
      <c r="N19" s="30">
        <v>0.05</v>
      </c>
      <c r="O19" s="11">
        <f t="shared" ref="O19:P19" si="34">0.05*12*O35</f>
        <v>239.52000000000004</v>
      </c>
      <c r="P19" s="11">
        <f t="shared" si="34"/>
        <v>232.32000000000002</v>
      </c>
      <c r="Q19" s="11">
        <f t="shared" ref="Q19:T19" si="35">0.05*12*Q35</f>
        <v>361.0200000000001</v>
      </c>
      <c r="R19" s="11">
        <f t="shared" si="35"/>
        <v>193.26000000000005</v>
      </c>
      <c r="S19" s="11">
        <f t="shared" si="35"/>
        <v>253.32000000000002</v>
      </c>
      <c r="T19" s="11">
        <f t="shared" si="35"/>
        <v>182.82000000000002</v>
      </c>
      <c r="U19" s="11">
        <f t="shared" ref="U19:V19" si="36">0.05*12*U35</f>
        <v>197.28000000000003</v>
      </c>
      <c r="V19" s="11">
        <f t="shared" si="36"/>
        <v>208.38000000000002</v>
      </c>
      <c r="W19" s="41">
        <v>0.05</v>
      </c>
      <c r="X19" s="11">
        <f t="shared" ref="X19" si="37">0.05*12*X35</f>
        <v>334.0200000000001</v>
      </c>
      <c r="Y19" s="11">
        <f t="shared" ref="Y19" si="38">0.05*12*Y35</f>
        <v>179.16000000000005</v>
      </c>
    </row>
    <row r="20" spans="1:25" s="1" customFormat="1" ht="32.25">
      <c r="A20" s="62" t="s">
        <v>35</v>
      </c>
      <c r="B20" s="62"/>
      <c r="C20" s="62"/>
      <c r="D20" s="62"/>
      <c r="E20" s="62"/>
      <c r="F20" s="62"/>
      <c r="G20" s="33" t="s">
        <v>49</v>
      </c>
      <c r="H20" s="30">
        <v>2.62</v>
      </c>
      <c r="I20" s="11">
        <f>2.62*12*I35</f>
        <v>12972.144000000002</v>
      </c>
      <c r="J20" s="11">
        <f t="shared" ref="J20:K20" si="39">2.62*12*J35</f>
        <v>12271.032000000001</v>
      </c>
      <c r="K20" s="11">
        <f t="shared" si="39"/>
        <v>10815.36</v>
      </c>
      <c r="L20" s="11">
        <f t="shared" ref="L20:M20" si="40">2.62*12*L35</f>
        <v>15889.776</v>
      </c>
      <c r="M20" s="11">
        <f t="shared" si="40"/>
        <v>9428.8559999999998</v>
      </c>
      <c r="N20" s="30">
        <v>3.89</v>
      </c>
      <c r="O20" s="11">
        <f t="shared" ref="O20:V20" si="41">3.89*12*O35</f>
        <v>18634.655999999999</v>
      </c>
      <c r="P20" s="11">
        <f t="shared" si="41"/>
        <v>18074.495999999999</v>
      </c>
      <c r="Q20" s="11">
        <f t="shared" si="41"/>
        <v>28087.356000000003</v>
      </c>
      <c r="R20" s="11">
        <f t="shared" si="41"/>
        <v>15035.628000000001</v>
      </c>
      <c r="S20" s="11">
        <f t="shared" si="41"/>
        <v>19708.295999999998</v>
      </c>
      <c r="T20" s="11">
        <f t="shared" si="41"/>
        <v>14223.395999999999</v>
      </c>
      <c r="U20" s="11">
        <f t="shared" si="41"/>
        <v>15348.384</v>
      </c>
      <c r="V20" s="11">
        <f t="shared" si="41"/>
        <v>16211.964</v>
      </c>
      <c r="W20" s="41">
        <v>3.89</v>
      </c>
      <c r="X20" s="11">
        <f>3.89*12*X35</f>
        <v>25986.756000000001</v>
      </c>
      <c r="Y20" s="11">
        <f t="shared" ref="Y20" si="42">3.89*12*Y35</f>
        <v>13938.648000000001</v>
      </c>
    </row>
    <row r="21" spans="1:25" s="1" customFormat="1">
      <c r="A21" s="62" t="s">
        <v>36</v>
      </c>
      <c r="B21" s="62"/>
      <c r="C21" s="62"/>
      <c r="D21" s="62"/>
      <c r="E21" s="62"/>
      <c r="F21" s="62"/>
      <c r="G21" s="30" t="s">
        <v>4</v>
      </c>
      <c r="H21" s="30">
        <v>0</v>
      </c>
      <c r="I21" s="11">
        <f>0*12*I35</f>
        <v>0</v>
      </c>
      <c r="J21" s="11">
        <f t="shared" ref="J21:K21" si="43">0*12*J35</f>
        <v>0</v>
      </c>
      <c r="K21" s="11">
        <f t="shared" si="43"/>
        <v>0</v>
      </c>
      <c r="L21" s="11">
        <f t="shared" ref="L21:M21" si="44">0*12*L35</f>
        <v>0</v>
      </c>
      <c r="M21" s="11">
        <f t="shared" si="44"/>
        <v>0</v>
      </c>
      <c r="N21" s="30">
        <v>4.7</v>
      </c>
      <c r="O21" s="11">
        <f t="shared" ref="O21:V21" si="45">4.7*12*O35</f>
        <v>22514.880000000001</v>
      </c>
      <c r="P21" s="11">
        <f t="shared" si="45"/>
        <v>21838.080000000002</v>
      </c>
      <c r="Q21" s="11">
        <f t="shared" si="45"/>
        <v>33935.880000000005</v>
      </c>
      <c r="R21" s="11">
        <f t="shared" si="45"/>
        <v>18166.440000000002</v>
      </c>
      <c r="S21" s="11">
        <f t="shared" si="45"/>
        <v>23812.080000000002</v>
      </c>
      <c r="T21" s="11">
        <f t="shared" si="45"/>
        <v>17185.080000000002</v>
      </c>
      <c r="U21" s="11">
        <f t="shared" si="45"/>
        <v>18544.320000000003</v>
      </c>
      <c r="V21" s="11">
        <f t="shared" si="45"/>
        <v>19587.72</v>
      </c>
      <c r="W21" s="41">
        <v>4.7</v>
      </c>
      <c r="X21" s="11">
        <f>4.7*12*X35</f>
        <v>31397.880000000005</v>
      </c>
      <c r="Y21" s="11">
        <f t="shared" ref="Y21" si="46">4.7*12*Y35</f>
        <v>16841.040000000005</v>
      </c>
    </row>
    <row r="22" spans="1:25" s="1" customFormat="1" ht="13.5" customHeight="1">
      <c r="A22" s="67" t="s">
        <v>10</v>
      </c>
      <c r="B22" s="68"/>
      <c r="C22" s="68"/>
      <c r="D22" s="68"/>
      <c r="E22" s="68"/>
      <c r="F22" s="69"/>
      <c r="G22" s="31"/>
      <c r="H22" s="31">
        <f t="shared" ref="H22" si="47">SUM(H23:H27)</f>
        <v>1.94</v>
      </c>
      <c r="I22" s="12">
        <f t="shared" ref="I22:K22" si="48">SUM(I23:I27)</f>
        <v>9605.3280000000013</v>
      </c>
      <c r="J22" s="12">
        <f t="shared" si="48"/>
        <v>9086.1840000000011</v>
      </c>
      <c r="K22" s="12">
        <f t="shared" si="48"/>
        <v>8008.3200000000006</v>
      </c>
      <c r="L22" s="12">
        <f t="shared" ref="L22:M22" si="49">SUM(L23:L27)</f>
        <v>11765.712</v>
      </c>
      <c r="M22" s="12">
        <f t="shared" si="49"/>
        <v>6981.6719999999996</v>
      </c>
      <c r="N22" s="31">
        <v>3.23</v>
      </c>
      <c r="O22" s="12">
        <f t="shared" ref="O22:P22" si="50">SUM(O23:O27)</f>
        <v>15472.991999999998</v>
      </c>
      <c r="P22" s="12">
        <f t="shared" si="50"/>
        <v>15007.871999999999</v>
      </c>
      <c r="Q22" s="12">
        <f t="shared" ref="Q22:T22" si="51">SUM(Q23:Q27)</f>
        <v>23321.892</v>
      </c>
      <c r="R22" s="12">
        <f t="shared" si="51"/>
        <v>12484.596000000001</v>
      </c>
      <c r="S22" s="12">
        <f t="shared" si="51"/>
        <v>16364.472</v>
      </c>
      <c r="T22" s="12">
        <f t="shared" si="51"/>
        <v>11810.171999999999</v>
      </c>
      <c r="U22" s="12">
        <f t="shared" ref="U22:V22" si="52">SUM(U23:U27)</f>
        <v>12744.288</v>
      </c>
      <c r="V22" s="12">
        <f t="shared" si="52"/>
        <v>13461.347999999998</v>
      </c>
      <c r="W22" s="42">
        <f t="shared" ref="W22" si="53">SUM(W23:W27)</f>
        <v>1.61</v>
      </c>
      <c r="X22" s="12">
        <f t="shared" ref="X22" si="54">SUM(X23:X27)</f>
        <v>10755.444000000001</v>
      </c>
      <c r="Y22" s="12">
        <f t="shared" ref="Y22" si="55">SUM(Y23:Y27)</f>
        <v>5768.9520000000011</v>
      </c>
    </row>
    <row r="23" spans="1:25" s="1" customFormat="1">
      <c r="A23" s="61" t="s">
        <v>38</v>
      </c>
      <c r="B23" s="62"/>
      <c r="C23" s="62"/>
      <c r="D23" s="62"/>
      <c r="E23" s="62"/>
      <c r="F23" s="62"/>
      <c r="G23" s="30" t="s">
        <v>4</v>
      </c>
      <c r="H23" s="30">
        <v>1.02</v>
      </c>
      <c r="I23" s="11">
        <f>1.02*12*I35</f>
        <v>5050.2240000000002</v>
      </c>
      <c r="J23" s="11">
        <f t="shared" ref="J23:K23" si="56">1.02*12*J35</f>
        <v>4777.2719999999999</v>
      </c>
      <c r="K23" s="11">
        <f t="shared" si="56"/>
        <v>4210.5600000000004</v>
      </c>
      <c r="L23" s="11">
        <f t="shared" ref="L23:M23" si="57">1.02*12*L35</f>
        <v>6186.0959999999995</v>
      </c>
      <c r="M23" s="11">
        <f t="shared" si="57"/>
        <v>3670.7759999999998</v>
      </c>
      <c r="N23" s="30">
        <v>1.02</v>
      </c>
      <c r="O23" s="11">
        <f t="shared" ref="O23:P23" si="58">1.02*12*O35</f>
        <v>4886.2079999999996</v>
      </c>
      <c r="P23" s="11">
        <f t="shared" si="58"/>
        <v>4739.3279999999995</v>
      </c>
      <c r="Q23" s="11">
        <f t="shared" ref="Q23:T23" si="59">1.02*12*Q35</f>
        <v>7364.8080000000009</v>
      </c>
      <c r="R23" s="11">
        <f t="shared" si="59"/>
        <v>3942.5040000000004</v>
      </c>
      <c r="S23" s="11">
        <f t="shared" si="59"/>
        <v>5167.7280000000001</v>
      </c>
      <c r="T23" s="11">
        <f t="shared" si="59"/>
        <v>3729.5279999999998</v>
      </c>
      <c r="U23" s="11">
        <f t="shared" ref="U23:V23" si="60">1.02*12*U35</f>
        <v>4024.5120000000002</v>
      </c>
      <c r="V23" s="11">
        <f t="shared" si="60"/>
        <v>4250.9520000000002</v>
      </c>
      <c r="W23" s="41">
        <v>1.02</v>
      </c>
      <c r="X23" s="11">
        <f t="shared" ref="X23" si="61">1.02*12*X35</f>
        <v>6814.0080000000007</v>
      </c>
      <c r="Y23" s="11">
        <f t="shared" ref="Y23" si="62">1.02*12*Y35</f>
        <v>3654.8640000000005</v>
      </c>
    </row>
    <row r="24" spans="1:25" s="1" customFormat="1" ht="25.5" customHeight="1">
      <c r="A24" s="61" t="s">
        <v>28</v>
      </c>
      <c r="B24" s="62"/>
      <c r="C24" s="62"/>
      <c r="D24" s="62"/>
      <c r="E24" s="62"/>
      <c r="F24" s="62"/>
      <c r="G24" s="30" t="s">
        <v>3</v>
      </c>
      <c r="H24" s="30">
        <v>0</v>
      </c>
      <c r="I24" s="11">
        <f>0*1242*I35</f>
        <v>0</v>
      </c>
      <c r="J24" s="11">
        <f t="shared" ref="J24:K24" si="63">0*1242*J35</f>
        <v>0</v>
      </c>
      <c r="K24" s="11">
        <f t="shared" si="63"/>
        <v>0</v>
      </c>
      <c r="L24" s="11">
        <f t="shared" ref="L24:M24" si="64">0*1242*L35</f>
        <v>0</v>
      </c>
      <c r="M24" s="11">
        <f t="shared" si="64"/>
        <v>0</v>
      </c>
      <c r="N24" s="30">
        <v>0</v>
      </c>
      <c r="O24" s="11">
        <f t="shared" ref="O24:V24" si="65">0*12*O35</f>
        <v>0</v>
      </c>
      <c r="P24" s="11">
        <f t="shared" si="65"/>
        <v>0</v>
      </c>
      <c r="Q24" s="11">
        <f t="shared" si="65"/>
        <v>0</v>
      </c>
      <c r="R24" s="11">
        <f t="shared" si="65"/>
        <v>0</v>
      </c>
      <c r="S24" s="11">
        <f t="shared" si="65"/>
        <v>0</v>
      </c>
      <c r="T24" s="11">
        <f t="shared" si="65"/>
        <v>0</v>
      </c>
      <c r="U24" s="11">
        <f t="shared" si="65"/>
        <v>0</v>
      </c>
      <c r="V24" s="11">
        <f t="shared" si="65"/>
        <v>0</v>
      </c>
      <c r="W24" s="41">
        <v>0</v>
      </c>
      <c r="X24" s="11">
        <f t="shared" ref="X24" si="66">0*1242*X35</f>
        <v>0</v>
      </c>
      <c r="Y24" s="11">
        <f t="shared" ref="Y24" si="67">0*1242*Y35</f>
        <v>0</v>
      </c>
    </row>
    <row r="25" spans="1:25" s="1" customFormat="1" ht="25.5" customHeight="1">
      <c r="A25" s="61" t="s">
        <v>29</v>
      </c>
      <c r="B25" s="61"/>
      <c r="C25" s="61"/>
      <c r="D25" s="61"/>
      <c r="E25" s="61"/>
      <c r="F25" s="61"/>
      <c r="G25" s="30" t="s">
        <v>8</v>
      </c>
      <c r="H25" s="30">
        <v>0</v>
      </c>
      <c r="I25" s="11">
        <f>0*12*I35</f>
        <v>0</v>
      </c>
      <c r="J25" s="11">
        <f t="shared" ref="J25:K25" si="68">0*12*J35</f>
        <v>0</v>
      </c>
      <c r="K25" s="11">
        <f t="shared" si="68"/>
        <v>0</v>
      </c>
      <c r="L25" s="11">
        <f t="shared" ref="L25:M25" si="69">0*12*L35</f>
        <v>0</v>
      </c>
      <c r="M25" s="11">
        <f t="shared" si="69"/>
        <v>0</v>
      </c>
      <c r="N25" s="30">
        <v>0</v>
      </c>
      <c r="O25" s="11">
        <f t="shared" ref="O25:P25" si="70">0*12*O35</f>
        <v>0</v>
      </c>
      <c r="P25" s="11">
        <f t="shared" si="70"/>
        <v>0</v>
      </c>
      <c r="Q25" s="11">
        <f t="shared" ref="Q25:T25" si="71">0*12*Q35</f>
        <v>0</v>
      </c>
      <c r="R25" s="11">
        <f t="shared" si="71"/>
        <v>0</v>
      </c>
      <c r="S25" s="11">
        <f t="shared" si="71"/>
        <v>0</v>
      </c>
      <c r="T25" s="11">
        <f t="shared" si="71"/>
        <v>0</v>
      </c>
      <c r="U25" s="11">
        <f t="shared" ref="U25:V25" si="72">0*12*U35</f>
        <v>0</v>
      </c>
      <c r="V25" s="11">
        <f t="shared" si="72"/>
        <v>0</v>
      </c>
      <c r="W25" s="41">
        <v>0</v>
      </c>
      <c r="X25" s="11">
        <f t="shared" ref="X25" si="73">0*12*X35</f>
        <v>0</v>
      </c>
      <c r="Y25" s="11">
        <f t="shared" ref="Y25" si="74">0*12*Y35</f>
        <v>0</v>
      </c>
    </row>
    <row r="26" spans="1:25" s="1" customFormat="1" ht="57" customHeight="1">
      <c r="A26" s="61" t="s">
        <v>30</v>
      </c>
      <c r="B26" s="61"/>
      <c r="C26" s="61"/>
      <c r="D26" s="61"/>
      <c r="E26" s="61"/>
      <c r="F26" s="61"/>
      <c r="G26" s="32" t="s">
        <v>9</v>
      </c>
      <c r="H26" s="30">
        <f>0.03+0.01</f>
        <v>0.04</v>
      </c>
      <c r="I26" s="11">
        <f>0.04*12*I35</f>
        <v>198.048</v>
      </c>
      <c r="J26" s="11">
        <f t="shared" ref="J26:K26" si="75">0.04*12*J35</f>
        <v>187.34399999999999</v>
      </c>
      <c r="K26" s="11">
        <f t="shared" si="75"/>
        <v>165.12</v>
      </c>
      <c r="L26" s="11">
        <f t="shared" ref="L26:M26" si="76">0.04*12*L35</f>
        <v>242.59199999999998</v>
      </c>
      <c r="M26" s="11">
        <f t="shared" si="76"/>
        <v>143.95199999999997</v>
      </c>
      <c r="N26" s="30">
        <v>0.04</v>
      </c>
      <c r="O26" s="11">
        <f t="shared" ref="O26:P26" si="77">0.04*12*O35</f>
        <v>191.61599999999999</v>
      </c>
      <c r="P26" s="11">
        <f t="shared" si="77"/>
        <v>185.85599999999999</v>
      </c>
      <c r="Q26" s="11">
        <f t="shared" ref="Q26:T26" si="78">0.04*12*Q35</f>
        <v>288.81600000000003</v>
      </c>
      <c r="R26" s="11">
        <f t="shared" si="78"/>
        <v>154.608</v>
      </c>
      <c r="S26" s="11">
        <f t="shared" si="78"/>
        <v>202.65599999999998</v>
      </c>
      <c r="T26" s="11">
        <f t="shared" si="78"/>
        <v>146.256</v>
      </c>
      <c r="U26" s="11">
        <f t="shared" ref="U26:V26" si="79">0.04*12*U35</f>
        <v>157.82400000000001</v>
      </c>
      <c r="V26" s="11">
        <f t="shared" si="79"/>
        <v>166.70400000000001</v>
      </c>
      <c r="W26" s="41">
        <v>0.04</v>
      </c>
      <c r="X26" s="11">
        <f t="shared" ref="X26" si="80">0.04*12*X35</f>
        <v>267.21600000000001</v>
      </c>
      <c r="Y26" s="11">
        <f t="shared" ref="Y26" si="81">0.04*12*Y35</f>
        <v>143.328</v>
      </c>
    </row>
    <row r="27" spans="1:25" s="1" customFormat="1" ht="85.5" customHeight="1">
      <c r="A27" s="61" t="s">
        <v>48</v>
      </c>
      <c r="B27" s="61"/>
      <c r="C27" s="61"/>
      <c r="D27" s="61"/>
      <c r="E27" s="61"/>
      <c r="F27" s="61"/>
      <c r="G27" s="30" t="s">
        <v>8</v>
      </c>
      <c r="H27" s="30">
        <f>0.32+0.18+0.38</f>
        <v>0.88</v>
      </c>
      <c r="I27" s="11">
        <f>0.88*12*I35</f>
        <v>4357.0560000000005</v>
      </c>
      <c r="J27" s="11">
        <f t="shared" ref="J27:K27" si="82">0.88*12*J35</f>
        <v>4121.5680000000002</v>
      </c>
      <c r="K27" s="11">
        <f t="shared" si="82"/>
        <v>3632.6400000000003</v>
      </c>
      <c r="L27" s="11">
        <f t="shared" ref="L27:M27" si="83">0.88*12*L35</f>
        <v>5337.0240000000003</v>
      </c>
      <c r="M27" s="11">
        <f t="shared" si="83"/>
        <v>3166.944</v>
      </c>
      <c r="N27" s="30">
        <v>2.17</v>
      </c>
      <c r="O27" s="11">
        <f t="shared" ref="O27:V27" si="84">2.17*12*O35</f>
        <v>10395.168</v>
      </c>
      <c r="P27" s="11">
        <f t="shared" si="84"/>
        <v>10082.688</v>
      </c>
      <c r="Q27" s="11">
        <f t="shared" si="84"/>
        <v>15668.268</v>
      </c>
      <c r="R27" s="11">
        <f t="shared" si="84"/>
        <v>8387.4840000000004</v>
      </c>
      <c r="S27" s="11">
        <f t="shared" si="84"/>
        <v>10994.088</v>
      </c>
      <c r="T27" s="11">
        <f t="shared" si="84"/>
        <v>7934.387999999999</v>
      </c>
      <c r="U27" s="11">
        <f t="shared" si="84"/>
        <v>8561.9519999999993</v>
      </c>
      <c r="V27" s="11">
        <f t="shared" si="84"/>
        <v>9043.6919999999991</v>
      </c>
      <c r="W27" s="41">
        <f>0.55</f>
        <v>0.55000000000000004</v>
      </c>
      <c r="X27" s="11">
        <f>0.55*12*X35</f>
        <v>3674.2200000000007</v>
      </c>
      <c r="Y27" s="11">
        <f t="shared" ref="Y27" si="85">0.55*12*Y35</f>
        <v>1970.7600000000002</v>
      </c>
    </row>
    <row r="28" spans="1:25" s="1" customFormat="1">
      <c r="A28" s="58" t="s">
        <v>7</v>
      </c>
      <c r="B28" s="59"/>
      <c r="C28" s="59"/>
      <c r="D28" s="59"/>
      <c r="E28" s="59"/>
      <c r="F28" s="60"/>
      <c r="G28" s="31"/>
      <c r="H28" s="31">
        <f t="shared" ref="H28" si="86">SUM(H29:H33)</f>
        <v>11.659999999999997</v>
      </c>
      <c r="I28" s="12">
        <f t="shared" ref="I28:K28" si="87">SUM(I29:I33)</f>
        <v>57730.991999999998</v>
      </c>
      <c r="J28" s="12">
        <f t="shared" si="87"/>
        <v>54610.775999999998</v>
      </c>
      <c r="K28" s="12">
        <f t="shared" si="87"/>
        <v>48132.479999999996</v>
      </c>
      <c r="L28" s="12">
        <f t="shared" ref="L28:M28" si="88">SUM(L29:L33)</f>
        <v>70715.567999999999</v>
      </c>
      <c r="M28" s="12">
        <f t="shared" si="88"/>
        <v>41962.007999999994</v>
      </c>
      <c r="N28" s="31">
        <v>7.3299999999999992</v>
      </c>
      <c r="O28" s="12">
        <f t="shared" ref="O28:P28" si="89">SUM(O29:O33)</f>
        <v>35113.632000000005</v>
      </c>
      <c r="P28" s="12">
        <f t="shared" si="89"/>
        <v>34058.112000000001</v>
      </c>
      <c r="Q28" s="12">
        <f t="shared" ref="Q28:T28" si="90">SUM(Q29:Q33)</f>
        <v>52925.531999999999</v>
      </c>
      <c r="R28" s="12">
        <f t="shared" si="90"/>
        <v>28331.916000000005</v>
      </c>
      <c r="S28" s="12">
        <f t="shared" si="90"/>
        <v>37136.712000000007</v>
      </c>
      <c r="T28" s="12">
        <f t="shared" si="90"/>
        <v>26801.412000000004</v>
      </c>
      <c r="U28" s="12">
        <f t="shared" ref="U28:V28" si="91">SUM(U29:U33)</f>
        <v>28921.248000000003</v>
      </c>
      <c r="V28" s="12">
        <f t="shared" si="91"/>
        <v>30548.508000000002</v>
      </c>
      <c r="W28" s="42">
        <f t="shared" ref="W28" si="92">SUM(W29:W33)</f>
        <v>3.9100000000000006</v>
      </c>
      <c r="X28" s="12">
        <f t="shared" ref="X28" si="93">SUM(X29:X33)</f>
        <v>26120.364000000001</v>
      </c>
      <c r="Y28" s="12">
        <f t="shared" ref="Y28" si="94">SUM(Y29:Y33)</f>
        <v>14010.312000000002</v>
      </c>
    </row>
    <row r="29" spans="1:25" s="1" customFormat="1" ht="176.25" customHeight="1">
      <c r="A29" s="61" t="s">
        <v>39</v>
      </c>
      <c r="B29" s="61"/>
      <c r="C29" s="61"/>
      <c r="D29" s="61"/>
      <c r="E29" s="61"/>
      <c r="F29" s="61"/>
      <c r="G29" s="32" t="s">
        <v>44</v>
      </c>
      <c r="H29" s="30">
        <f>0.49+0.35+2.46+2.46+0.81+0.1+0.13+0.14+0.1+0.03+0.02+0.04+0.01</f>
        <v>7.1399999999999988</v>
      </c>
      <c r="I29" s="11">
        <f>7.14*12*I35</f>
        <v>35351.567999999999</v>
      </c>
      <c r="J29" s="11">
        <f t="shared" ref="J29:K29" si="95">7.14*12*J35</f>
        <v>33440.903999999995</v>
      </c>
      <c r="K29" s="11">
        <f t="shared" si="95"/>
        <v>29473.919999999998</v>
      </c>
      <c r="L29" s="11">
        <f t="shared" ref="L29:M29" si="96">7.14*12*L35</f>
        <v>43302.671999999991</v>
      </c>
      <c r="M29" s="11">
        <f t="shared" si="96"/>
        <v>25695.431999999997</v>
      </c>
      <c r="N29" s="30">
        <v>1.57</v>
      </c>
      <c r="O29" s="11">
        <f t="shared" ref="O29:V29" si="97">1.57*12*O35</f>
        <v>7520.9279999999999</v>
      </c>
      <c r="P29" s="11">
        <f t="shared" si="97"/>
        <v>7294.848</v>
      </c>
      <c r="Q29" s="11">
        <f t="shared" si="97"/>
        <v>11336.028</v>
      </c>
      <c r="R29" s="11">
        <f t="shared" si="97"/>
        <v>6068.3640000000005</v>
      </c>
      <c r="S29" s="11">
        <f t="shared" si="97"/>
        <v>7954.2479999999996</v>
      </c>
      <c r="T29" s="11">
        <f t="shared" si="97"/>
        <v>5740.5479999999998</v>
      </c>
      <c r="U29" s="11">
        <f t="shared" si="97"/>
        <v>6194.5920000000006</v>
      </c>
      <c r="V29" s="11">
        <f t="shared" si="97"/>
        <v>6543.1320000000005</v>
      </c>
      <c r="W29" s="41">
        <f>0.44+0.25+0.18+0.06+0.04+0.06+0.05+0.05</f>
        <v>1.1300000000000001</v>
      </c>
      <c r="X29" s="11">
        <f>1.13*12*X35</f>
        <v>7548.8519999999999</v>
      </c>
      <c r="Y29" s="11">
        <f t="shared" ref="Y29" si="98">1.13*12*Y35</f>
        <v>4049.0160000000001</v>
      </c>
    </row>
    <row r="30" spans="1:25" s="1" customFormat="1" ht="84.75" customHeight="1">
      <c r="A30" s="62" t="s">
        <v>6</v>
      </c>
      <c r="B30" s="62"/>
      <c r="C30" s="62"/>
      <c r="D30" s="62"/>
      <c r="E30" s="62"/>
      <c r="F30" s="62"/>
      <c r="G30" s="32" t="s">
        <v>5</v>
      </c>
      <c r="H30" s="30">
        <v>1.4</v>
      </c>
      <c r="I30" s="11">
        <f>1.4*12*I35</f>
        <v>6931.6799999999994</v>
      </c>
      <c r="J30" s="11">
        <f t="shared" ref="J30:K30" si="99">1.4*12*J35</f>
        <v>6557.0399999999991</v>
      </c>
      <c r="K30" s="11">
        <f t="shared" si="99"/>
        <v>5779.1999999999989</v>
      </c>
      <c r="L30" s="11">
        <f t="shared" ref="L30:M30" si="100">1.4*12*L35</f>
        <v>8490.7199999999975</v>
      </c>
      <c r="M30" s="11">
        <f t="shared" si="100"/>
        <v>5038.3199999999988</v>
      </c>
      <c r="N30" s="30">
        <v>1.85</v>
      </c>
      <c r="O30" s="11">
        <f t="shared" ref="O30:V30" si="101">1.85*12*O35</f>
        <v>8862.2400000000016</v>
      </c>
      <c r="P30" s="11">
        <f t="shared" si="101"/>
        <v>8595.84</v>
      </c>
      <c r="Q30" s="11">
        <f t="shared" si="101"/>
        <v>13357.740000000003</v>
      </c>
      <c r="R30" s="11">
        <f t="shared" si="101"/>
        <v>7150.6200000000017</v>
      </c>
      <c r="S30" s="11">
        <f t="shared" si="101"/>
        <v>9372.84</v>
      </c>
      <c r="T30" s="11">
        <f t="shared" si="101"/>
        <v>6764.3400000000011</v>
      </c>
      <c r="U30" s="11">
        <f t="shared" si="101"/>
        <v>7299.3600000000015</v>
      </c>
      <c r="V30" s="11">
        <f t="shared" si="101"/>
        <v>7710.0600000000013</v>
      </c>
      <c r="W30" s="41">
        <v>1.85</v>
      </c>
      <c r="X30" s="11">
        <f>1.85*12*X35</f>
        <v>12358.740000000003</v>
      </c>
      <c r="Y30" s="11">
        <f t="shared" ref="Y30" si="102">1.85*12*Y35</f>
        <v>6628.920000000001</v>
      </c>
    </row>
    <row r="31" spans="1:25" s="1" customFormat="1" ht="32.25">
      <c r="A31" s="62" t="s">
        <v>37</v>
      </c>
      <c r="B31" s="62"/>
      <c r="C31" s="62"/>
      <c r="D31" s="62"/>
      <c r="E31" s="62"/>
      <c r="F31" s="62"/>
      <c r="G31" s="33" t="s">
        <v>45</v>
      </c>
      <c r="H31" s="30">
        <f>0.51+0.3+0.22+0.12+0.17+0.22</f>
        <v>1.5399999999999998</v>
      </c>
      <c r="I31" s="11">
        <f>1.54*12*I35</f>
        <v>7624.8480000000009</v>
      </c>
      <c r="J31" s="11">
        <f t="shared" ref="J31:K31" si="103">1.54*12*J35</f>
        <v>7212.7440000000006</v>
      </c>
      <c r="K31" s="11">
        <f t="shared" si="103"/>
        <v>6357.12</v>
      </c>
      <c r="L31" s="11">
        <f t="shared" ref="L31:M31" si="104">1.54*12*L35</f>
        <v>9339.7919999999995</v>
      </c>
      <c r="M31" s="11">
        <f t="shared" si="104"/>
        <v>5542.152</v>
      </c>
      <c r="N31" s="30">
        <v>2.1199999999999997</v>
      </c>
      <c r="O31" s="11">
        <f t="shared" ref="O31:V31" si="105">2.12*12*O35</f>
        <v>10155.648000000001</v>
      </c>
      <c r="P31" s="11">
        <f t="shared" si="105"/>
        <v>9850.3680000000004</v>
      </c>
      <c r="Q31" s="11">
        <f t="shared" si="105"/>
        <v>15307.248000000001</v>
      </c>
      <c r="R31" s="11">
        <f t="shared" si="105"/>
        <v>8194.2240000000002</v>
      </c>
      <c r="S31" s="11">
        <f t="shared" si="105"/>
        <v>10740.768</v>
      </c>
      <c r="T31" s="11">
        <f t="shared" si="105"/>
        <v>7751.5680000000002</v>
      </c>
      <c r="U31" s="11">
        <f t="shared" si="105"/>
        <v>8364.6720000000005</v>
      </c>
      <c r="V31" s="11">
        <f t="shared" si="105"/>
        <v>8835.3119999999999</v>
      </c>
      <c r="W31" s="41">
        <v>0</v>
      </c>
      <c r="X31" s="11">
        <f t="shared" ref="X31" si="106">0*12*X35</f>
        <v>0</v>
      </c>
      <c r="Y31" s="11">
        <f t="shared" ref="Y31" si="107">0*12*Y35</f>
        <v>0</v>
      </c>
    </row>
    <row r="32" spans="1:25" s="1" customFormat="1">
      <c r="A32" s="62" t="s">
        <v>51</v>
      </c>
      <c r="B32" s="62"/>
      <c r="C32" s="62"/>
      <c r="D32" s="62"/>
      <c r="E32" s="62"/>
      <c r="F32" s="62"/>
      <c r="G32" s="30" t="s">
        <v>4</v>
      </c>
      <c r="H32" s="30">
        <v>0.87</v>
      </c>
      <c r="I32" s="11">
        <f>0.87*12*I35</f>
        <v>4307.5439999999999</v>
      </c>
      <c r="J32" s="11">
        <f t="shared" ref="J32:K32" si="108">0.87*12*J35</f>
        <v>4074.732</v>
      </c>
      <c r="K32" s="11">
        <f t="shared" si="108"/>
        <v>3591.3599999999997</v>
      </c>
      <c r="L32" s="11">
        <f t="shared" ref="L32:M32" si="109">0.87*12*L35</f>
        <v>5276.3759999999993</v>
      </c>
      <c r="M32" s="11">
        <f t="shared" si="109"/>
        <v>3130.9559999999997</v>
      </c>
      <c r="N32" s="30">
        <v>1.36</v>
      </c>
      <c r="O32" s="11">
        <f t="shared" ref="O32:V32" si="110">1.36*12*O35</f>
        <v>6514.9439999999995</v>
      </c>
      <c r="P32" s="11">
        <f t="shared" si="110"/>
        <v>6319.1040000000003</v>
      </c>
      <c r="Q32" s="11">
        <f t="shared" si="110"/>
        <v>9819.7440000000006</v>
      </c>
      <c r="R32" s="11">
        <f t="shared" si="110"/>
        <v>5256.6720000000005</v>
      </c>
      <c r="S32" s="11">
        <f t="shared" si="110"/>
        <v>6890.3040000000001</v>
      </c>
      <c r="T32" s="11">
        <f t="shared" si="110"/>
        <v>4972.7039999999997</v>
      </c>
      <c r="U32" s="11">
        <f t="shared" si="110"/>
        <v>5366.0160000000005</v>
      </c>
      <c r="V32" s="11">
        <f t="shared" si="110"/>
        <v>5667.9360000000006</v>
      </c>
      <c r="W32" s="41">
        <v>0.68</v>
      </c>
      <c r="X32" s="11">
        <f>0.68*12*X35</f>
        <v>4542.6720000000005</v>
      </c>
      <c r="Y32" s="11">
        <f t="shared" ref="Y32" si="111">0.68*12*Y35</f>
        <v>2436.576</v>
      </c>
    </row>
    <row r="33" spans="1:29" s="1" customFormat="1">
      <c r="A33" s="62" t="s">
        <v>52</v>
      </c>
      <c r="B33" s="62"/>
      <c r="C33" s="62"/>
      <c r="D33" s="62"/>
      <c r="E33" s="62"/>
      <c r="F33" s="62"/>
      <c r="G33" s="30" t="s">
        <v>8</v>
      </c>
      <c r="H33" s="30">
        <v>0.71</v>
      </c>
      <c r="I33" s="11">
        <f>0.71*12*I35</f>
        <v>3515.3519999999999</v>
      </c>
      <c r="J33" s="11">
        <f t="shared" ref="J33:K33" si="112">0.71*12*J35</f>
        <v>3325.3559999999998</v>
      </c>
      <c r="K33" s="11">
        <f t="shared" si="112"/>
        <v>2930.8799999999997</v>
      </c>
      <c r="L33" s="11">
        <f t="shared" ref="L33:M33" si="113">0.71*12*L35</f>
        <v>4306.0079999999998</v>
      </c>
      <c r="M33" s="11">
        <f t="shared" si="113"/>
        <v>2555.1479999999997</v>
      </c>
      <c r="N33" s="30">
        <v>0.43</v>
      </c>
      <c r="O33" s="11">
        <f t="shared" ref="O33:V33" si="114">0.43*12*O35</f>
        <v>2059.8719999999998</v>
      </c>
      <c r="P33" s="11">
        <f t="shared" si="114"/>
        <v>1997.952</v>
      </c>
      <c r="Q33" s="11">
        <f t="shared" si="114"/>
        <v>3104.7720000000004</v>
      </c>
      <c r="R33" s="11">
        <f t="shared" si="114"/>
        <v>1662.0360000000001</v>
      </c>
      <c r="S33" s="11">
        <f t="shared" si="114"/>
        <v>2178.5520000000001</v>
      </c>
      <c r="T33" s="11">
        <f t="shared" si="114"/>
        <v>1572.252</v>
      </c>
      <c r="U33" s="11">
        <f t="shared" si="114"/>
        <v>1696.6080000000002</v>
      </c>
      <c r="V33" s="11">
        <f t="shared" si="114"/>
        <v>1792.0680000000002</v>
      </c>
      <c r="W33" s="41">
        <v>0.25</v>
      </c>
      <c r="X33" s="11">
        <f>0.25*12*X35</f>
        <v>1670.1000000000001</v>
      </c>
      <c r="Y33" s="11">
        <f t="shared" ref="Y33" si="115">0.25*12*Y35</f>
        <v>895.80000000000007</v>
      </c>
    </row>
    <row r="34" spans="1:29" s="1" customFormat="1">
      <c r="A34" s="72" t="s">
        <v>2</v>
      </c>
      <c r="B34" s="73"/>
      <c r="C34" s="73"/>
      <c r="D34" s="73"/>
      <c r="E34" s="73"/>
      <c r="F34" s="74"/>
      <c r="G34" s="34"/>
      <c r="H34" s="34"/>
      <c r="I34" s="14">
        <f>I14+I22+I28</f>
        <v>90359.4</v>
      </c>
      <c r="J34" s="14">
        <f t="shared" ref="J34:K34" si="116">J14+J22+J28</f>
        <v>85475.7</v>
      </c>
      <c r="K34" s="14">
        <f t="shared" si="116"/>
        <v>75336</v>
      </c>
      <c r="L34" s="14">
        <f t="shared" ref="L34:M34" si="117">L14+L22+L28</f>
        <v>110682.6</v>
      </c>
      <c r="M34" s="14">
        <f t="shared" si="117"/>
        <v>65678.099999999991</v>
      </c>
      <c r="N34" s="48"/>
      <c r="O34" s="14">
        <f t="shared" ref="O34:V34" si="118">O14+O22+O28</f>
        <v>103903.77600000001</v>
      </c>
      <c r="P34" s="14">
        <f t="shared" si="118"/>
        <v>100780.416</v>
      </c>
      <c r="Q34" s="14">
        <f t="shared" si="118"/>
        <v>156610.47600000002</v>
      </c>
      <c r="R34" s="14">
        <f t="shared" si="118"/>
        <v>83836.188000000024</v>
      </c>
      <c r="S34" s="14">
        <f t="shared" si="118"/>
        <v>109890.21600000001</v>
      </c>
      <c r="T34" s="14">
        <f t="shared" si="118"/>
        <v>79307.316000000006</v>
      </c>
      <c r="U34" s="14">
        <f t="shared" si="118"/>
        <v>85580.064000000013</v>
      </c>
      <c r="V34" s="14">
        <f t="shared" si="118"/>
        <v>90395.244000000006</v>
      </c>
      <c r="W34" s="41"/>
      <c r="X34" s="14">
        <f t="shared" ref="X34" si="119">X14+X22+X28</f>
        <v>111228.66000000002</v>
      </c>
      <c r="Y34" s="14">
        <f t="shared" ref="Y34" si="120">Y14+Y22+Y28</f>
        <v>59660.280000000013</v>
      </c>
      <c r="Z34" s="22"/>
      <c r="AA34" s="22">
        <f>SUM(I34:Z34)</f>
        <v>1408724.436</v>
      </c>
      <c r="AB34" s="1">
        <f>AA34/12*0.05</f>
        <v>5869.6851500000002</v>
      </c>
    </row>
    <row r="35" spans="1:29" s="16" customFormat="1">
      <c r="A35" s="63" t="s">
        <v>1</v>
      </c>
      <c r="B35" s="63"/>
      <c r="C35" s="63"/>
      <c r="D35" s="63"/>
      <c r="E35" s="63"/>
      <c r="F35" s="63"/>
      <c r="G35" s="35"/>
      <c r="H35" s="47"/>
      <c r="I35" s="24" t="s">
        <v>75</v>
      </c>
      <c r="J35" s="24" t="s">
        <v>76</v>
      </c>
      <c r="K35" s="24" t="s">
        <v>77</v>
      </c>
      <c r="L35" s="24" t="s">
        <v>78</v>
      </c>
      <c r="M35" s="24" t="s">
        <v>79</v>
      </c>
      <c r="N35" s="47"/>
      <c r="O35" s="25" t="s">
        <v>80</v>
      </c>
      <c r="P35" s="25" t="s">
        <v>81</v>
      </c>
      <c r="Q35" s="25" t="s">
        <v>82</v>
      </c>
      <c r="R35" s="25" t="s">
        <v>83</v>
      </c>
      <c r="S35" s="25" t="s">
        <v>84</v>
      </c>
      <c r="T35" s="25" t="s">
        <v>85</v>
      </c>
      <c r="U35" s="25" t="s">
        <v>86</v>
      </c>
      <c r="V35" s="25" t="s">
        <v>87</v>
      </c>
      <c r="W35" s="43"/>
      <c r="X35" s="24" t="s">
        <v>88</v>
      </c>
      <c r="Y35" s="24" t="s">
        <v>89</v>
      </c>
      <c r="Z35" s="1"/>
      <c r="AA35" s="1"/>
      <c r="AB35" s="1"/>
      <c r="AC35" s="1"/>
    </row>
    <row r="36" spans="1:29" s="2" customFormat="1" ht="25.5" customHeight="1">
      <c r="A36" s="55" t="s">
        <v>50</v>
      </c>
      <c r="B36" s="56"/>
      <c r="C36" s="56"/>
      <c r="D36" s="56"/>
      <c r="E36" s="56"/>
      <c r="F36" s="57"/>
      <c r="G36" s="36"/>
      <c r="H36" s="39">
        <f>H14+H22+H28</f>
        <v>18.249999999999996</v>
      </c>
      <c r="I36" s="15">
        <f>I34 /12/I35</f>
        <v>18.25</v>
      </c>
      <c r="J36" s="15">
        <f t="shared" ref="J36:K36" si="121">J34 /12/J35</f>
        <v>18.249999999999996</v>
      </c>
      <c r="K36" s="15">
        <f t="shared" si="121"/>
        <v>18.25</v>
      </c>
      <c r="L36" s="15">
        <f t="shared" ref="L36:M36" si="122">L34 /12/L35</f>
        <v>18.250000000000004</v>
      </c>
      <c r="M36" s="15">
        <f t="shared" si="122"/>
        <v>18.25</v>
      </c>
      <c r="N36" s="39">
        <v>21.689999999999998</v>
      </c>
      <c r="O36" s="15">
        <f t="shared" ref="O36:V36" si="123">O34/12/O35</f>
        <v>21.690000000000005</v>
      </c>
      <c r="P36" s="15">
        <f t="shared" si="123"/>
        <v>21.69</v>
      </c>
      <c r="Q36" s="15">
        <f t="shared" si="123"/>
        <v>21.69</v>
      </c>
      <c r="R36" s="15">
        <f t="shared" si="123"/>
        <v>21.690000000000005</v>
      </c>
      <c r="S36" s="15">
        <f t="shared" si="123"/>
        <v>21.690000000000005</v>
      </c>
      <c r="T36" s="15">
        <f t="shared" si="123"/>
        <v>21.69</v>
      </c>
      <c r="U36" s="15">
        <f t="shared" si="123"/>
        <v>21.690000000000005</v>
      </c>
      <c r="V36" s="15">
        <f t="shared" si="123"/>
        <v>21.69</v>
      </c>
      <c r="W36" s="43">
        <f t="shared" ref="W36" si="124">W14+W22+W28</f>
        <v>16.649999999999999</v>
      </c>
      <c r="X36" s="15">
        <f t="shared" ref="X36" si="125">X34 /12/X35</f>
        <v>16.650000000000002</v>
      </c>
      <c r="Y36" s="15">
        <f t="shared" ref="Y36" si="126">Y34 /12/Y35</f>
        <v>16.650000000000002</v>
      </c>
      <c r="Z36" s="16"/>
      <c r="AA36" s="16"/>
      <c r="AB36" s="16"/>
      <c r="AC36" s="16"/>
    </row>
    <row r="37" spans="1:29" s="2" customFormat="1" ht="25.5" customHeight="1">
      <c r="A37" s="26"/>
      <c r="B37" s="26"/>
      <c r="C37" s="26"/>
      <c r="D37" s="26"/>
      <c r="E37" s="26"/>
      <c r="F37" s="26"/>
      <c r="G37" s="37"/>
      <c r="H37" s="40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16"/>
      <c r="AA37" s="16"/>
      <c r="AB37" s="16"/>
      <c r="AC37" s="16"/>
    </row>
    <row r="38" spans="1:29" s="2" customFormat="1" ht="15" customHeight="1">
      <c r="A38" s="26"/>
      <c r="B38" s="26"/>
      <c r="C38" s="26"/>
      <c r="D38" s="26"/>
      <c r="E38" s="26"/>
      <c r="F38" s="26"/>
      <c r="G38" s="37"/>
      <c r="H38" s="40"/>
      <c r="I38" s="27"/>
      <c r="J38" s="27"/>
      <c r="K38" s="27"/>
      <c r="L38" s="27"/>
      <c r="M38" s="27"/>
      <c r="N38" s="40"/>
      <c r="O38" s="27"/>
      <c r="P38" s="27"/>
      <c r="Q38" s="27"/>
      <c r="R38" s="27"/>
      <c r="S38" s="27"/>
      <c r="T38" s="27"/>
      <c r="U38" s="27"/>
      <c r="V38" s="27"/>
      <c r="W38" s="44"/>
      <c r="X38" s="27"/>
      <c r="Y38" s="27"/>
      <c r="Z38" s="16"/>
      <c r="AA38" s="16"/>
      <c r="AB38" s="16"/>
      <c r="AC38" s="16"/>
    </row>
    <row r="39" spans="1:29" s="2" customFormat="1" ht="15.75" customHeight="1">
      <c r="A39" s="26"/>
      <c r="B39" s="26"/>
      <c r="C39" s="26"/>
      <c r="D39" s="26"/>
      <c r="E39" s="26"/>
      <c r="F39" s="26"/>
      <c r="G39" s="37"/>
      <c r="H39" s="40"/>
      <c r="I39" s="27"/>
      <c r="J39" s="27"/>
      <c r="K39" s="27"/>
      <c r="L39" s="27"/>
      <c r="M39" s="27"/>
      <c r="N39" s="40"/>
      <c r="O39" s="27"/>
      <c r="P39" s="27"/>
      <c r="Q39" s="27"/>
      <c r="R39" s="27"/>
      <c r="S39" s="27"/>
      <c r="T39" s="27"/>
      <c r="U39" s="27"/>
      <c r="V39" s="27"/>
      <c r="W39" s="44"/>
      <c r="X39" s="27"/>
      <c r="Y39" s="27"/>
      <c r="Z39" s="16"/>
      <c r="AA39" s="16"/>
      <c r="AB39" s="16"/>
      <c r="AC39" s="16"/>
    </row>
    <row r="40" spans="1:29" s="2" customFormat="1" ht="25.5" customHeight="1">
      <c r="A40" s="26"/>
      <c r="B40" s="26"/>
      <c r="C40" s="26"/>
      <c r="D40" s="26"/>
      <c r="E40" s="26"/>
      <c r="F40" s="26"/>
      <c r="G40" s="37"/>
      <c r="H40" s="40"/>
      <c r="I40" s="27"/>
      <c r="J40" s="27"/>
      <c r="K40" s="27"/>
      <c r="L40" s="27"/>
      <c r="M40" s="27"/>
      <c r="N40" s="40"/>
      <c r="O40" s="27"/>
      <c r="P40" s="27"/>
      <c r="Q40" s="27"/>
      <c r="R40" s="27"/>
      <c r="S40" s="27"/>
      <c r="T40" s="27"/>
      <c r="U40" s="27"/>
      <c r="V40" s="27"/>
      <c r="W40" s="44"/>
      <c r="X40" s="27"/>
      <c r="Y40" s="27"/>
      <c r="Z40" s="16"/>
      <c r="AA40" s="16"/>
      <c r="AB40" s="16"/>
      <c r="AC40" s="16"/>
    </row>
    <row r="41" spans="1:29" s="1" customFormat="1" ht="12.75" customHeight="1">
      <c r="A41" s="6"/>
      <c r="B41" s="6"/>
      <c r="C41" s="6"/>
      <c r="D41" s="6"/>
      <c r="E41" s="6"/>
      <c r="F41" s="6"/>
      <c r="G41" s="28"/>
      <c r="H41" s="38"/>
      <c r="I41" s="7"/>
      <c r="J41" s="7"/>
      <c r="K41" s="7"/>
      <c r="L41" s="8"/>
      <c r="M41" s="8"/>
      <c r="N41" s="38"/>
      <c r="O41" s="8"/>
      <c r="P41" s="8"/>
      <c r="Q41" s="8"/>
      <c r="R41" s="8"/>
      <c r="S41" s="8"/>
      <c r="T41" s="8"/>
      <c r="U41" s="8"/>
      <c r="V41" s="8"/>
      <c r="W41" s="45"/>
      <c r="X41" s="8"/>
      <c r="Y41" s="8"/>
    </row>
    <row r="42" spans="1:29" s="1" customFormat="1" ht="12.75" hidden="1" customHeight="1">
      <c r="A42" s="6"/>
      <c r="B42" s="6"/>
      <c r="C42" s="6"/>
      <c r="D42" s="6"/>
      <c r="E42" s="6"/>
      <c r="F42" s="6"/>
      <c r="G42" s="28"/>
      <c r="H42" s="38"/>
      <c r="I42" s="7"/>
      <c r="J42" s="7"/>
      <c r="K42" s="7"/>
      <c r="L42" s="8"/>
      <c r="M42" s="8"/>
      <c r="N42" s="38"/>
      <c r="O42" s="8"/>
      <c r="P42" s="8"/>
      <c r="Q42" s="8"/>
      <c r="R42" s="8"/>
      <c r="S42" s="8"/>
      <c r="T42" s="8"/>
      <c r="U42" s="8"/>
      <c r="V42" s="8"/>
      <c r="W42" s="38"/>
      <c r="X42" s="8"/>
      <c r="Y42" s="8"/>
    </row>
    <row r="43" spans="1:29" s="1" customFormat="1">
      <c r="A43" s="6"/>
      <c r="B43" s="6"/>
      <c r="C43" s="6"/>
      <c r="D43" s="6"/>
      <c r="E43" s="6"/>
      <c r="F43" s="6"/>
      <c r="G43" s="28"/>
      <c r="H43" s="38"/>
      <c r="I43" s="7"/>
      <c r="J43" s="7"/>
      <c r="K43" s="7"/>
      <c r="L43" s="8"/>
      <c r="M43" s="8"/>
      <c r="N43" s="38"/>
      <c r="O43" s="8"/>
      <c r="P43" s="8"/>
      <c r="Q43" s="8"/>
      <c r="R43" s="8"/>
      <c r="S43" s="8"/>
      <c r="T43" s="8"/>
      <c r="U43" s="8"/>
      <c r="V43" s="8"/>
      <c r="W43" s="38"/>
      <c r="X43" s="8"/>
      <c r="Y43" s="8"/>
    </row>
    <row r="44" spans="1:29" s="1" customFormat="1">
      <c r="A44" s="6"/>
      <c r="B44" s="6"/>
      <c r="C44" s="6"/>
      <c r="D44" s="6"/>
      <c r="E44" s="6"/>
      <c r="F44" s="6"/>
      <c r="G44" s="28"/>
      <c r="H44" s="38"/>
      <c r="I44" s="7"/>
      <c r="J44" s="7"/>
      <c r="K44" s="7"/>
      <c r="L44" s="8"/>
      <c r="M44" s="8"/>
      <c r="N44" s="38"/>
      <c r="O44" s="8"/>
      <c r="P44" s="8"/>
      <c r="Q44" s="8"/>
      <c r="R44" s="8"/>
      <c r="S44" s="8"/>
      <c r="T44" s="8"/>
      <c r="U44" s="8"/>
      <c r="V44" s="8"/>
      <c r="W44" s="38"/>
      <c r="X44" s="8"/>
      <c r="Y44" s="8"/>
    </row>
    <row r="45" spans="1:29" s="1" customFormat="1">
      <c r="A45" s="6" t="s">
        <v>0</v>
      </c>
      <c r="B45" s="6">
        <v>12</v>
      </c>
      <c r="C45" s="6"/>
      <c r="D45" s="6"/>
      <c r="E45" s="6"/>
      <c r="F45" s="6"/>
      <c r="G45" s="28"/>
      <c r="H45" s="38"/>
      <c r="I45" s="7"/>
      <c r="J45" s="7"/>
      <c r="K45" s="7"/>
      <c r="L45" s="8"/>
      <c r="M45" s="8"/>
      <c r="N45" s="38"/>
      <c r="O45" s="8"/>
      <c r="P45" s="8"/>
      <c r="Q45" s="8"/>
      <c r="R45" s="8"/>
      <c r="S45" s="8"/>
      <c r="T45" s="8"/>
      <c r="U45" s="8"/>
      <c r="V45" s="8"/>
      <c r="W45" s="38"/>
      <c r="X45" s="8"/>
      <c r="Y45" s="8"/>
    </row>
    <row r="46" spans="1:29" s="1" customFormat="1">
      <c r="A46" s="6"/>
      <c r="B46" s="6"/>
      <c r="C46" s="6"/>
      <c r="D46" s="6"/>
      <c r="E46" s="6"/>
      <c r="F46" s="6"/>
      <c r="G46" s="28"/>
      <c r="H46" s="38"/>
      <c r="I46" s="7"/>
      <c r="J46" s="7"/>
      <c r="K46" s="7"/>
      <c r="L46" s="8"/>
      <c r="M46" s="8"/>
      <c r="N46" s="38"/>
      <c r="O46" s="8"/>
      <c r="P46" s="8"/>
      <c r="Q46" s="8"/>
      <c r="R46" s="8"/>
      <c r="S46" s="8"/>
      <c r="T46" s="8"/>
      <c r="U46" s="8"/>
      <c r="V46" s="8"/>
      <c r="W46" s="38"/>
      <c r="X46" s="8"/>
      <c r="Y46" s="8"/>
    </row>
  </sheetData>
  <mergeCells count="40">
    <mergeCell ref="X6:Y6"/>
    <mergeCell ref="A6:F8"/>
    <mergeCell ref="G7:G8"/>
    <mergeCell ref="A34:F34"/>
    <mergeCell ref="A15:F15"/>
    <mergeCell ref="A10:F10"/>
    <mergeCell ref="A11:F11"/>
    <mergeCell ref="A12:F12"/>
    <mergeCell ref="A13:F13"/>
    <mergeCell ref="A14:F14"/>
    <mergeCell ref="N7:N8"/>
    <mergeCell ref="G6:M6"/>
    <mergeCell ref="N6:V6"/>
    <mergeCell ref="H7:H8"/>
    <mergeCell ref="W7:W8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1:G1"/>
    <mergeCell ref="A2:G2"/>
    <mergeCell ref="A3:G3"/>
    <mergeCell ref="A4:G4"/>
    <mergeCell ref="A9:F9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2016-10-03T08:01:58Z</cp:lastPrinted>
  <dcterms:created xsi:type="dcterms:W3CDTF">2013-04-24T10:34:01Z</dcterms:created>
  <dcterms:modified xsi:type="dcterms:W3CDTF">2016-10-05T12:41:31Z</dcterms:modified>
</cp:coreProperties>
</file>